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ardobu\OneDrive - Telit Communications PLC\Attachments\salvar\EA\"/>
    </mc:Choice>
  </mc:AlternateContent>
  <xr:revisionPtr revIDLastSave="0" documentId="13_ncr:1_{914C47C0-4BFD-4D4D-B915-E7CE8280236A}" xr6:coauthVersionLast="47" xr6:coauthVersionMax="47" xr10:uidLastSave="{00000000-0000-0000-0000-000000000000}"/>
  <bookViews>
    <workbookView xWindow="-110" yWindow="-110" windowWidth="19420" windowHeight="10420" xr2:uid="{DE73E178-E30F-47DD-8ADF-CA79BA290010}"/>
  </bookViews>
  <sheets>
    <sheet name="Estimativa de tratamento" sheetId="2" r:id="rId1"/>
    <sheet name="Sheet1" sheetId="1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E24" i="1"/>
  <c r="D24" i="1"/>
  <c r="C26" i="1"/>
  <c r="F14" i="1"/>
  <c r="G14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5" i="1"/>
  <c r="G15" i="1" s="1"/>
  <c r="F16" i="1"/>
  <c r="G16" i="1" s="1"/>
  <c r="F17" i="1"/>
  <c r="G17" i="1" s="1"/>
  <c r="F18" i="1"/>
  <c r="G18" i="1" s="1"/>
  <c r="F19" i="1"/>
  <c r="G19" i="1" s="1"/>
  <c r="F3" i="1"/>
  <c r="G3" i="1" s="1"/>
  <c r="G20" i="1" l="1"/>
  <c r="H3" i="1"/>
  <c r="G22" i="1" l="1"/>
  <c r="G26" i="1"/>
  <c r="G24" i="1"/>
  <c r="G23" i="1"/>
  <c r="G21" i="1"/>
  <c r="D41" i="2"/>
  <c r="D43" i="2" l="1"/>
  <c r="D55" i="2" s="1"/>
  <c r="D53" i="2"/>
  <c r="D51" i="2"/>
  <c r="D49" i="2"/>
  <c r="D47" i="2"/>
  <c r="D57" i="2" l="1"/>
  <c r="D45" i="2"/>
</calcChain>
</file>

<file path=xl/sharedStrings.xml><?xml version="1.0" encoding="utf-8"?>
<sst xmlns="http://schemas.openxmlformats.org/spreadsheetml/2006/main" count="140" uniqueCount="92">
  <si>
    <t>Apinhamento</t>
  </si>
  <si>
    <t>0 - 2 mm</t>
  </si>
  <si>
    <t>2 - 3 mm</t>
  </si>
  <si>
    <t>3 - 6 mm</t>
  </si>
  <si>
    <t>Diastemas</t>
  </si>
  <si>
    <t>Desvio de Linha Média</t>
  </si>
  <si>
    <t>3 - 4 mm</t>
  </si>
  <si>
    <t>Intrusão</t>
  </si>
  <si>
    <t>0 - 1 mm</t>
  </si>
  <si>
    <t>1 - 2 mm</t>
  </si>
  <si>
    <t>Extrusão</t>
  </si>
  <si>
    <t>0 - 0,5 mm</t>
  </si>
  <si>
    <t xml:space="preserve">0,5 -1 mm </t>
  </si>
  <si>
    <t>1 - 1,5 mm</t>
  </si>
  <si>
    <t>Rotação</t>
  </si>
  <si>
    <t>0º - 10º</t>
  </si>
  <si>
    <t>10º - 15º</t>
  </si>
  <si>
    <t>+ 15º</t>
  </si>
  <si>
    <t>Inclinação Vestíbulo Lingual</t>
  </si>
  <si>
    <t>10 - 20º</t>
  </si>
  <si>
    <t>+ 20º</t>
  </si>
  <si>
    <t>Inclinação Mésio Distal</t>
  </si>
  <si>
    <t>10 - 15º</t>
  </si>
  <si>
    <t xml:space="preserve"> 15 - 20º</t>
  </si>
  <si>
    <t>Distalização</t>
  </si>
  <si>
    <t>Mesialização</t>
  </si>
  <si>
    <t xml:space="preserve">Torque </t>
  </si>
  <si>
    <t>Correção Sagital</t>
  </si>
  <si>
    <t>-</t>
  </si>
  <si>
    <t>0 - 1,5 mm</t>
  </si>
  <si>
    <t>1,5 - 4 mm</t>
  </si>
  <si>
    <t>Desalinhamento Anterior</t>
  </si>
  <si>
    <t>Suave</t>
  </si>
  <si>
    <t>Moderado</t>
  </si>
  <si>
    <t>Severo</t>
  </si>
  <si>
    <t>Desalinhamento Posterior</t>
  </si>
  <si>
    <t>Sobressaliência</t>
  </si>
  <si>
    <t>Sobremordida</t>
  </si>
  <si>
    <t>1 - 3 mm</t>
  </si>
  <si>
    <t>3 - 5 mm</t>
  </si>
  <si>
    <t>Mordida Aberta</t>
  </si>
  <si>
    <t>6 séries</t>
  </si>
  <si>
    <t>12 séries</t>
  </si>
  <si>
    <t>24 séries ou mais</t>
  </si>
  <si>
    <t>Escolha</t>
  </si>
  <si>
    <t>Qtd de séries</t>
  </si>
  <si>
    <t>Doutor</t>
  </si>
  <si>
    <t>Paciente</t>
  </si>
  <si>
    <t>Custos -&gt;</t>
  </si>
  <si>
    <t>Quantidade de séries -&gt;</t>
  </si>
  <si>
    <t>Quantidade de séries (Estimativa preliminar)</t>
  </si>
  <si>
    <t>Por Unidade</t>
  </si>
  <si>
    <t>Pacote MID</t>
  </si>
  <si>
    <t>Pacote FULL</t>
  </si>
  <si>
    <t>Pacote recomendado</t>
  </si>
  <si>
    <t>Pacote recomendado -&gt;</t>
  </si>
  <si>
    <t>2 - 4 mm</t>
  </si>
  <si>
    <t>Complexidade do caso</t>
  </si>
  <si>
    <t>Guias de attachment</t>
  </si>
  <si>
    <t>A vista</t>
  </si>
  <si>
    <t>6x</t>
  </si>
  <si>
    <t>12x</t>
  </si>
  <si>
    <t>21x</t>
  </si>
  <si>
    <t>N/A</t>
  </si>
  <si>
    <t>Valor a vista</t>
  </si>
  <si>
    <t>ou 6 parcelas de</t>
  </si>
  <si>
    <t>ou 12 parcelas de</t>
  </si>
  <si>
    <t>ou 21 parcelas de</t>
  </si>
  <si>
    <t>Custo Checagem (cobrada apenas em caso de não aprovação)</t>
  </si>
  <si>
    <t>Resumo:</t>
  </si>
  <si>
    <t>Tipo de tratamento</t>
  </si>
  <si>
    <t>Pacote:</t>
  </si>
  <si>
    <t>Preço a vista:</t>
  </si>
  <si>
    <t>Parcela:</t>
  </si>
  <si>
    <t>Classe II</t>
  </si>
  <si>
    <t>Classe III</t>
  </si>
  <si>
    <t>Mordida aberta</t>
  </si>
  <si>
    <t>Mordida profunda</t>
  </si>
  <si>
    <t>Mordida cruzada</t>
  </si>
  <si>
    <t>Pequenos apinhamentos e recidivas</t>
  </si>
  <si>
    <t>Unidade</t>
  </si>
  <si>
    <t>Mid</t>
  </si>
  <si>
    <t>Full</t>
  </si>
  <si>
    <t>R$ 3.800</t>
  </si>
  <si>
    <t>R$ 4.999</t>
  </si>
  <si>
    <t>R$ 95 por placa
R$ 2.280 para 6 meses</t>
  </si>
  <si>
    <t>6 de R$ 380 (para 6 meses)</t>
  </si>
  <si>
    <t>12x de R$ 369</t>
  </si>
  <si>
    <t>21x de R$ 299</t>
  </si>
  <si>
    <t xml:space="preserve"> Valores antes dos descontos progressivos:</t>
  </si>
  <si>
    <t>2o Caso 10% de desconto / 3o caso 15% de desconto</t>
  </si>
  <si>
    <t>Apinhamentos e nivelamentos moderados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</si>
</sst>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[$R$-416]\ * #,##0.00_-;\-[$R$-416]\ * #,##0.00_-;_-[$R$-416]\ * &quot;-&quot;??_-;_-@_-"/>
    <numFmt numFmtId="165" formatCode="[$R$-416]\ 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2" borderId="0" xfId="0" applyFill="1"/>
    <xf numFmtId="0" fontId="0" fillId="3" borderId="1" xfId="0" applyFill="1" applyBorder="1"/>
    <xf numFmtId="0" fontId="2" fillId="3" borderId="1" xfId="0" applyFont="1" applyFill="1" applyBorder="1"/>
    <xf numFmtId="0" fontId="2" fillId="2" borderId="0" xfId="0" applyFont="1" applyFill="1"/>
    <xf numFmtId="0" fontId="2" fillId="4" borderId="1" xfId="0" applyFont="1" applyFill="1" applyBorder="1"/>
    <xf numFmtId="164" fontId="0" fillId="0" borderId="0" xfId="0" applyNumberFormat="1"/>
    <xf numFmtId="43" fontId="0" fillId="0" borderId="0" xfId="1" applyFont="1"/>
    <xf numFmtId="0" fontId="2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0" fontId="0" fillId="2" borderId="0" xfId="0" applyFill="1" applyAlignment="1">
      <alignment horizontal="left"/>
    </xf>
    <xf numFmtId="164" fontId="2" fillId="4" borderId="1" xfId="0" applyNumberFormat="1" applyFont="1" applyFill="1" applyBorder="1" applyAlignment="1">
      <alignment horizontal="left"/>
    </xf>
    <xf numFmtId="165" fontId="2" fillId="4" borderId="1" xfId="0" applyNumberFormat="1" applyFont="1" applyFill="1" applyBorder="1" applyAlignment="1">
      <alignment horizontal="left"/>
    </xf>
    <xf numFmtId="165" fontId="0" fillId="2" borderId="0" xfId="0" applyNumberFormat="1" applyFill="1" applyAlignment="1">
      <alignment horizontal="left"/>
    </xf>
    <xf numFmtId="0" fontId="0" fillId="2" borderId="0" xfId="0" applyFill="1" applyAlignment="1">
      <alignment vertical="center"/>
    </xf>
    <xf numFmtId="0" fontId="0" fillId="3" borderId="3" xfId="0" applyFill="1" applyBorder="1"/>
    <xf numFmtId="0" fontId="0" fillId="3" borderId="3" xfId="0" applyFill="1" applyBorder="1" applyAlignment="1">
      <alignment horizontal="center" vertical="center"/>
    </xf>
    <xf numFmtId="0" fontId="0" fillId="3" borderId="4" xfId="0" applyFill="1" applyBorder="1"/>
    <xf numFmtId="0" fontId="0" fillId="3" borderId="4" xfId="0" applyFill="1" applyBorder="1" applyAlignment="1">
      <alignment horizontal="center" vertical="center"/>
    </xf>
    <xf numFmtId="0" fontId="0" fillId="3" borderId="5" xfId="0" applyFill="1" applyBorder="1"/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2" fillId="3" borderId="2" xfId="0" applyFont="1" applyFill="1" applyBorder="1"/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119063</xdr:colOff>
      <xdr:row>0</xdr:row>
      <xdr:rowOff>63500</xdr:rowOff>
    </xdr:from>
    <xdr:to>
      <xdr:col>1</xdr:col>
      <xdr:colOff>2119313</xdr:colOff>
      <xdr:row>0</xdr:row>
      <xdr:rowOff>591150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AAA44AB0-DEA8-4F54-9953-3D8D05730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3" y="63500"/>
          <a:ext cx="2428875" cy="527650"/>
        </a:xfrm>
        <a:prstGeom prst="rect">
          <a:avLst/>
        </a:prstGeom>
      </xdr:spPr>
    </xdr:pic>
    <xdr:clientData/>
  </xdr:twoCellAnchor>
  <xdr:twoCellAnchor>
    <xdr:from>
      <xdr:col>0</xdr:col>
      <xdr:colOff>423863</xdr:colOff>
      <xdr:row>58</xdr:row>
      <xdr:rowOff>103189</xdr:rowOff>
    </xdr:from>
    <xdr:to>
      <xdr:col>3</xdr:col>
      <xdr:colOff>2300288</xdr:colOff>
      <xdr:row>65</xdr:row>
      <xdr:rowOff>71438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A7AF97E0-F87F-4F1F-AB7F-AF70ADD7FE97}"/>
            </a:ext>
          </a:extLst>
        </xdr:cNvPr>
        <xdr:cNvSpPr txBox="1"/>
      </xdr:nvSpPr>
      <xdr:spPr>
        <a:xfrm>
          <a:off x="423863" y="7223127"/>
          <a:ext cx="5194300" cy="12461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IMPORTANTE: A estimativa</a:t>
          </a:r>
          <a:r>
            <a:rPr lang="en-US" sz="1100" baseline="0"/>
            <a:t> de tratamento é uma mera indicação. Inúmeros fatores podem alterar tal estimativa tal como execução correta de desgastes, uso correto dos alinhadores e fatores biológicos.</a:t>
          </a:r>
        </a:p>
        <a:p>
          <a:endParaRPr lang="en-US" sz="1100" baseline="0"/>
        </a:p>
        <a:p>
          <a:r>
            <a:rPr lang="en-US" sz="1100" baseline="0"/>
            <a:t>Os preços acima referem-se à tabela de preço referente à 2024 e podem vir a ser alterados no futuro. Confirme a tabela de preços atual no momento do envio do caso.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8D29B-BE4B-423A-BF74-1DA0CFBE0EE8}">
  <dimension ref="B1:I57"/>
  <sheetViews>
    <sheetView tabSelected="1" zoomScale="80" zoomScaleNormal="80" workbookViewId="0">
      <selection activeCell="F49" sqref="F49"/>
    </sheetView>
  </sheetViews>
  <sheetFormatPr defaultRowHeight="14.5" x14ac:dyDescent="0.35"/>
  <cols>
    <col min="1" max="1" width="6.08984375" style="1" customWidth="1"/>
    <col min="2" max="2" width="55.453125" style="1" bestFit="1" customWidth="1"/>
    <col min="3" max="3" width="1.7265625" style="1" customWidth="1"/>
    <col min="4" max="4" width="39.1796875" style="1" customWidth="1"/>
    <col min="5" max="5" width="3.54296875" style="1" customWidth="1"/>
    <col min="6" max="6" width="36.1796875" style="1" bestFit="1" customWidth="1"/>
    <col min="7" max="7" width="16.08984375" style="1" customWidth="1"/>
    <col min="8" max="8" width="22.26953125" style="1" customWidth="1"/>
    <col min="9" max="9" width="16.453125" style="1" customWidth="1"/>
    <col min="10" max="16384" width="8.7265625" style="1"/>
  </cols>
  <sheetData>
    <row r="1" spans="2:9" ht="54" customHeight="1" x14ac:dyDescent="0.35"/>
    <row r="2" spans="2:9" x14ac:dyDescent="0.35">
      <c r="B2" s="3" t="s">
        <v>46</v>
      </c>
      <c r="C2" s="4"/>
      <c r="D2" s="8"/>
    </row>
    <row r="3" spans="2:9" ht="4" customHeight="1" x14ac:dyDescent="0.35"/>
    <row r="4" spans="2:9" x14ac:dyDescent="0.35">
      <c r="B4" s="3" t="s">
        <v>47</v>
      </c>
      <c r="C4" s="4"/>
      <c r="D4" s="8"/>
    </row>
    <row r="6" spans="2:9" x14ac:dyDescent="0.35">
      <c r="B6" s="2" t="s">
        <v>0</v>
      </c>
      <c r="D6" s="9"/>
    </row>
    <row r="7" spans="2:9" ht="3" customHeight="1" x14ac:dyDescent="0.35"/>
    <row r="8" spans="2:9" x14ac:dyDescent="0.35">
      <c r="B8" s="2" t="s">
        <v>4</v>
      </c>
      <c r="D8" s="9"/>
      <c r="F8" s="4" t="s">
        <v>69</v>
      </c>
    </row>
    <row r="9" spans="2:9" ht="3" customHeight="1" x14ac:dyDescent="0.35"/>
    <row r="10" spans="2:9" x14ac:dyDescent="0.35">
      <c r="B10" s="2" t="s">
        <v>5</v>
      </c>
      <c r="D10" s="9"/>
      <c r="F10" s="25" t="s">
        <v>70</v>
      </c>
      <c r="G10" s="25" t="s">
        <v>71</v>
      </c>
      <c r="H10" s="25" t="s">
        <v>72</v>
      </c>
      <c r="I10" s="25" t="s">
        <v>73</v>
      </c>
    </row>
    <row r="11" spans="2:9" ht="3" customHeight="1" x14ac:dyDescent="0.35"/>
    <row r="12" spans="2:9" x14ac:dyDescent="0.35">
      <c r="B12" s="2" t="s">
        <v>7</v>
      </c>
      <c r="D12" s="9"/>
      <c r="F12" s="26" t="s">
        <v>79</v>
      </c>
      <c r="G12" s="17" t="s">
        <v>80</v>
      </c>
      <c r="H12" s="22" t="s">
        <v>85</v>
      </c>
      <c r="I12" s="22" t="s">
        <v>86</v>
      </c>
    </row>
    <row r="13" spans="2:9" ht="3" customHeight="1" x14ac:dyDescent="0.35">
      <c r="F13" s="27"/>
      <c r="G13" s="19"/>
      <c r="H13" s="19"/>
      <c r="I13" s="23"/>
    </row>
    <row r="14" spans="2:9" x14ac:dyDescent="0.35">
      <c r="B14" s="2" t="s">
        <v>10</v>
      </c>
      <c r="D14" s="9"/>
      <c r="F14" s="28"/>
      <c r="G14" s="21"/>
      <c r="H14" s="21"/>
      <c r="I14" s="24"/>
    </row>
    <row r="15" spans="2:9" ht="3" customHeight="1" x14ac:dyDescent="0.35">
      <c r="G15" s="15"/>
      <c r="H15" s="15"/>
      <c r="I15" s="15"/>
    </row>
    <row r="16" spans="2:9" x14ac:dyDescent="0.35">
      <c r="B16" s="2" t="s">
        <v>14</v>
      </c>
      <c r="D16" s="9"/>
      <c r="F16" s="26" t="s">
        <v>91</v>
      </c>
      <c r="G16" s="17" t="s">
        <v>81</v>
      </c>
      <c r="H16" s="17" t="s">
        <v>83</v>
      </c>
      <c r="I16" s="17" t="s">
        <v>87</v>
      </c>
    </row>
    <row r="17" spans="2:9" ht="3" customHeight="1" x14ac:dyDescent="0.35">
      <c r="F17" s="27"/>
      <c r="G17" s="19"/>
      <c r="H17" s="19"/>
      <c r="I17" s="19"/>
    </row>
    <row r="18" spans="2:9" x14ac:dyDescent="0.35">
      <c r="B18" s="2" t="s">
        <v>18</v>
      </c>
      <c r="D18" s="9"/>
      <c r="F18" s="28"/>
      <c r="G18" s="21"/>
      <c r="H18" s="21"/>
      <c r="I18" s="21"/>
    </row>
    <row r="19" spans="2:9" ht="3" customHeight="1" x14ac:dyDescent="0.35">
      <c r="G19" s="15"/>
      <c r="H19" s="15"/>
      <c r="I19" s="15"/>
    </row>
    <row r="20" spans="2:9" x14ac:dyDescent="0.35">
      <c r="B20" s="2" t="s">
        <v>21</v>
      </c>
      <c r="D20" s="9"/>
      <c r="F20" s="16" t="s">
        <v>74</v>
      </c>
      <c r="G20" s="17" t="s">
        <v>82</v>
      </c>
      <c r="H20" s="17" t="s">
        <v>84</v>
      </c>
      <c r="I20" s="17" t="s">
        <v>88</v>
      </c>
    </row>
    <row r="21" spans="2:9" ht="3" customHeight="1" x14ac:dyDescent="0.35">
      <c r="F21" s="18"/>
      <c r="G21" s="19"/>
      <c r="H21" s="19"/>
      <c r="I21" s="19"/>
    </row>
    <row r="22" spans="2:9" x14ac:dyDescent="0.35">
      <c r="B22" s="2" t="s">
        <v>24</v>
      </c>
      <c r="D22" s="9"/>
      <c r="F22" s="18" t="s">
        <v>75</v>
      </c>
      <c r="G22" s="19"/>
      <c r="H22" s="19"/>
      <c r="I22" s="19"/>
    </row>
    <row r="23" spans="2:9" ht="3" customHeight="1" x14ac:dyDescent="0.35">
      <c r="F23" s="18"/>
      <c r="G23" s="19"/>
      <c r="H23" s="19"/>
      <c r="I23" s="19"/>
    </row>
    <row r="24" spans="2:9" x14ac:dyDescent="0.35">
      <c r="B24" s="2" t="s">
        <v>25</v>
      </c>
      <c r="D24" s="9"/>
      <c r="F24" s="18" t="s">
        <v>76</v>
      </c>
      <c r="G24" s="19"/>
      <c r="H24" s="19"/>
      <c r="I24" s="19"/>
    </row>
    <row r="25" spans="2:9" ht="2.5" customHeight="1" x14ac:dyDescent="0.35">
      <c r="F25" s="18"/>
      <c r="G25" s="19"/>
      <c r="H25" s="19"/>
      <c r="I25" s="19"/>
    </row>
    <row r="26" spans="2:9" x14ac:dyDescent="0.35">
      <c r="B26" s="2" t="s">
        <v>26</v>
      </c>
      <c r="D26" s="9"/>
      <c r="F26" s="18" t="s">
        <v>77</v>
      </c>
      <c r="G26" s="19"/>
      <c r="H26" s="19"/>
      <c r="I26" s="19"/>
    </row>
    <row r="27" spans="2:9" ht="2.5" customHeight="1" x14ac:dyDescent="0.35">
      <c r="F27" s="18"/>
      <c r="G27" s="19"/>
      <c r="H27" s="19"/>
      <c r="I27" s="19"/>
    </row>
    <row r="28" spans="2:9" x14ac:dyDescent="0.35">
      <c r="B28" s="2" t="s">
        <v>27</v>
      </c>
      <c r="D28" s="9"/>
      <c r="F28" s="20" t="s">
        <v>78</v>
      </c>
      <c r="G28" s="21"/>
      <c r="H28" s="21"/>
      <c r="I28" s="21"/>
    </row>
    <row r="29" spans="2:9" ht="2.5" customHeight="1" x14ac:dyDescent="0.35"/>
    <row r="30" spans="2:9" x14ac:dyDescent="0.35">
      <c r="B30" s="2" t="s">
        <v>31</v>
      </c>
      <c r="D30" s="9"/>
      <c r="F30" s="1" t="s">
        <v>89</v>
      </c>
    </row>
    <row r="31" spans="2:9" ht="2.5" customHeight="1" x14ac:dyDescent="0.35"/>
    <row r="32" spans="2:9" x14ac:dyDescent="0.35">
      <c r="B32" s="2" t="s">
        <v>35</v>
      </c>
      <c r="D32" s="9"/>
      <c r="F32" s="1" t="s">
        <v>90</v>
      </c>
    </row>
    <row r="33" spans="2:4" ht="2.5" customHeight="1" x14ac:dyDescent="0.35"/>
    <row r="34" spans="2:4" x14ac:dyDescent="0.35">
      <c r="B34" s="2" t="s">
        <v>36</v>
      </c>
      <c r="D34" s="9"/>
    </row>
    <row r="35" spans="2:4" ht="2.5" customHeight="1" x14ac:dyDescent="0.35"/>
    <row r="36" spans="2:4" x14ac:dyDescent="0.35">
      <c r="B36" s="2" t="s">
        <v>37</v>
      </c>
      <c r="D36" s="9"/>
    </row>
    <row r="37" spans="2:4" ht="2.5" customHeight="1" x14ac:dyDescent="0.35"/>
    <row r="38" spans="2:4" x14ac:dyDescent="0.35">
      <c r="B38" s="2" t="s">
        <v>40</v>
      </c>
      <c r="D38" s="9"/>
    </row>
    <row r="41" spans="2:4" x14ac:dyDescent="0.35">
      <c r="B41" s="5" t="s">
        <v>50</v>
      </c>
      <c r="D41" s="10" t="str">
        <f>IF(Sheet1!G20=0,"",Sheet1!G20)</f>
        <v/>
      </c>
    </row>
    <row r="42" spans="2:4" ht="4.5" customHeight="1" x14ac:dyDescent="0.35">
      <c r="D42" s="11"/>
    </row>
    <row r="43" spans="2:4" x14ac:dyDescent="0.35">
      <c r="B43" s="5" t="s">
        <v>54</v>
      </c>
      <c r="D43" s="12" t="str">
        <f>IF(D41="","",Sheet1!G26)</f>
        <v/>
      </c>
    </row>
    <row r="44" spans="2:4" ht="4.5" customHeight="1" x14ac:dyDescent="0.35">
      <c r="D44" s="11"/>
    </row>
    <row r="45" spans="2:4" x14ac:dyDescent="0.35">
      <c r="B45" s="5" t="s">
        <v>57</v>
      </c>
      <c r="D45" s="12" t="str">
        <f>IF(D43="","",IF(D43="Por unidade","Complexidade Baixa (Alinhadores)",IF(D43="Pacote MID","Complexidade Moderada (alinhadores, eventual mecânica acessoria)","Complexidade alta (Alinhadores, eventual mecânica híbrida)")))</f>
        <v/>
      </c>
    </row>
    <row r="46" spans="2:4" ht="4.5" customHeight="1" x14ac:dyDescent="0.35">
      <c r="D46" s="11"/>
    </row>
    <row r="47" spans="2:4" x14ac:dyDescent="0.35">
      <c r="B47" s="5" t="s">
        <v>64</v>
      </c>
      <c r="D47" s="13" t="str">
        <f>IF(D41="","",Sheet1!G21)</f>
        <v/>
      </c>
    </row>
    <row r="48" spans="2:4" ht="4.5" customHeight="1" x14ac:dyDescent="0.35">
      <c r="D48" s="11"/>
    </row>
    <row r="49" spans="2:4" x14ac:dyDescent="0.35">
      <c r="B49" s="5" t="s">
        <v>65</v>
      </c>
      <c r="D49" s="13" t="str">
        <f>IF(D41="","",Sheet1!G22)</f>
        <v/>
      </c>
    </row>
    <row r="50" spans="2:4" ht="4.5" customHeight="1" x14ac:dyDescent="0.35">
      <c r="D50" s="14"/>
    </row>
    <row r="51" spans="2:4" ht="16" customHeight="1" x14ac:dyDescent="0.35">
      <c r="B51" s="5" t="s">
        <v>66</v>
      </c>
      <c r="D51" s="13" t="str">
        <f>IF(D41="","",Sheet1!G23)</f>
        <v/>
      </c>
    </row>
    <row r="52" spans="2:4" ht="4.5" customHeight="1" x14ac:dyDescent="0.35">
      <c r="D52" s="14"/>
    </row>
    <row r="53" spans="2:4" ht="16.5" customHeight="1" x14ac:dyDescent="0.35">
      <c r="B53" s="5" t="s">
        <v>67</v>
      </c>
      <c r="D53" s="13" t="str">
        <f>IF(D41="","",Sheet1!G24)</f>
        <v/>
      </c>
    </row>
    <row r="54" spans="2:4" ht="4.5" customHeight="1" x14ac:dyDescent="0.35">
      <c r="D54" s="14"/>
    </row>
    <row r="55" spans="2:4" x14ac:dyDescent="0.35">
      <c r="B55" s="5" t="s">
        <v>68</v>
      </c>
      <c r="D55" s="13" t="str">
        <f>IF(D43="","",IF(D43="Por unidade", 290,"Incluido"))</f>
        <v/>
      </c>
    </row>
    <row r="56" spans="2:4" ht="4.5" customHeight="1" x14ac:dyDescent="0.35">
      <c r="D56" s="14"/>
    </row>
    <row r="57" spans="2:4" x14ac:dyDescent="0.35">
      <c r="B57" s="5" t="s">
        <v>58</v>
      </c>
      <c r="D57" s="13" t="str">
        <f>IF(D43="","",IF(D43="Pacote FULL", "Incluído","R$ 95 por guia de attachment"))</f>
        <v/>
      </c>
    </row>
  </sheetData>
  <sheetProtection sheet="1" objects="1" scenarios="1"/>
  <mergeCells count="11">
    <mergeCell ref="I16:I18"/>
    <mergeCell ref="I20:I28"/>
    <mergeCell ref="I12:I14"/>
    <mergeCell ref="F12:F14"/>
    <mergeCell ref="F16:F18"/>
    <mergeCell ref="G12:G14"/>
    <mergeCell ref="G16:G18"/>
    <mergeCell ref="G20:G28"/>
    <mergeCell ref="H12:H14"/>
    <mergeCell ref="H16:H18"/>
    <mergeCell ref="H20:H28"/>
  </mergeCell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7">
        <x14:dataValidation type="list" allowBlank="1" showInputMessage="1" showErrorMessage="1" xr:uid="{F9AB76CE-F621-465D-8986-86DC42C0313F}">
          <x14:formula1>
            <xm:f>Sheet1!$B$3:$E$3</xm:f>
          </x14:formula1>
          <xm:sqref>D6</xm:sqref>
        </x14:dataValidation>
        <x14:dataValidation type="list" allowBlank="1" showInputMessage="1" showErrorMessage="1" xr:uid="{88ACBDF3-D960-4350-9617-59F2615D08C0}">
          <x14:formula1>
            <xm:f>Sheet1!$B$4:$E$4</xm:f>
          </x14:formula1>
          <xm:sqref>D8</xm:sqref>
        </x14:dataValidation>
        <x14:dataValidation type="list" allowBlank="1" showInputMessage="1" showErrorMessage="1" xr:uid="{1F7D7CA4-F514-45E1-A67D-BD51A638FABA}">
          <x14:formula1>
            <xm:f>Sheet1!$B$5:$E$5</xm:f>
          </x14:formula1>
          <xm:sqref>D10</xm:sqref>
        </x14:dataValidation>
        <x14:dataValidation type="list" allowBlank="1" showInputMessage="1" showErrorMessage="1" xr:uid="{7049732D-9F69-4113-8A3D-63C6681A127D}">
          <x14:formula1>
            <xm:f>Sheet1!$B$6:$E$6</xm:f>
          </x14:formula1>
          <xm:sqref>D12</xm:sqref>
        </x14:dataValidation>
        <x14:dataValidation type="list" allowBlank="1" showInputMessage="1" showErrorMessage="1" xr:uid="{BE4FF5F1-A8B0-4E96-BB5F-97C6E9B19940}">
          <x14:formula1>
            <xm:f>Sheet1!$B$7:$E$7</xm:f>
          </x14:formula1>
          <xm:sqref>D14</xm:sqref>
        </x14:dataValidation>
        <x14:dataValidation type="list" allowBlank="1" showInputMessage="1" showErrorMessage="1" xr:uid="{92943687-1BAF-49B5-BBF2-7436A46793B9}">
          <x14:formula1>
            <xm:f>Sheet1!$B$8:$E$8</xm:f>
          </x14:formula1>
          <xm:sqref>D16</xm:sqref>
        </x14:dataValidation>
        <x14:dataValidation type="list" allowBlank="1" showInputMessage="1" showErrorMessage="1" xr:uid="{998B99D6-7AE3-4FE4-85F4-E064605B96DE}">
          <x14:formula1>
            <xm:f>Sheet1!$B$9:$E$9</xm:f>
          </x14:formula1>
          <xm:sqref>D18</xm:sqref>
        </x14:dataValidation>
        <x14:dataValidation type="list" allowBlank="1" showInputMessage="1" showErrorMessage="1" xr:uid="{AD71A5CE-DC07-4470-998E-3BC55DDDE171}">
          <x14:formula1>
            <xm:f>Sheet1!$B$10:$E$10</xm:f>
          </x14:formula1>
          <xm:sqref>D20</xm:sqref>
        </x14:dataValidation>
        <x14:dataValidation type="list" allowBlank="1" showInputMessage="1" showErrorMessage="1" xr:uid="{1A3D342B-E2AB-482B-8086-93E4C7D6C6BE}">
          <x14:formula1>
            <xm:f>Sheet1!$B$11:$E$11</xm:f>
          </x14:formula1>
          <xm:sqref>D22</xm:sqref>
        </x14:dataValidation>
        <x14:dataValidation type="list" allowBlank="1" showInputMessage="1" showErrorMessage="1" xr:uid="{7607B73C-6634-4156-82FC-8CAC523C4EBE}">
          <x14:formula1>
            <xm:f>Sheet1!$B$12:$E$12</xm:f>
          </x14:formula1>
          <xm:sqref>D24</xm:sqref>
        </x14:dataValidation>
        <x14:dataValidation type="list" allowBlank="1" showInputMessage="1" showErrorMessage="1" xr:uid="{74A86CCA-5467-44C8-BD8C-02047E9E958F}">
          <x14:formula1>
            <xm:f>Sheet1!$B$13:$E$13</xm:f>
          </x14:formula1>
          <xm:sqref>D26</xm:sqref>
        </x14:dataValidation>
        <x14:dataValidation type="list" allowBlank="1" showInputMessage="1" showErrorMessage="1" xr:uid="{B2098F7D-4273-4ADA-930C-7621B7E1543A}">
          <x14:formula1>
            <xm:f>Sheet1!$C$14:$E$14</xm:f>
          </x14:formula1>
          <xm:sqref>D28</xm:sqref>
        </x14:dataValidation>
        <x14:dataValidation type="list" allowBlank="1" showInputMessage="1" showErrorMessage="1" xr:uid="{3B957E2D-9FC5-42D8-88E3-38CE6F69425E}">
          <x14:formula1>
            <xm:f>Sheet1!$B$15:$E$15</xm:f>
          </x14:formula1>
          <xm:sqref>D30</xm:sqref>
        </x14:dataValidation>
        <x14:dataValidation type="list" allowBlank="1" showInputMessage="1" showErrorMessage="1" xr:uid="{2A03540A-ABBA-4E54-8A7C-5FA1D3A1DC8F}">
          <x14:formula1>
            <xm:f>Sheet1!$B$16:$E$16</xm:f>
          </x14:formula1>
          <xm:sqref>D32</xm:sqref>
        </x14:dataValidation>
        <x14:dataValidation type="list" allowBlank="1" showInputMessage="1" showErrorMessage="1" xr:uid="{3C5B8D11-4BB1-4150-B4A5-3B39F0D00435}">
          <x14:formula1>
            <xm:f>Sheet1!$B$17:$E$17</xm:f>
          </x14:formula1>
          <xm:sqref>D34</xm:sqref>
        </x14:dataValidation>
        <x14:dataValidation type="list" allowBlank="1" showInputMessage="1" showErrorMessage="1" xr:uid="{73130BC8-11A7-4F55-B792-D476AF14564B}">
          <x14:formula1>
            <xm:f>Sheet1!$B$18:$E$18</xm:f>
          </x14:formula1>
          <xm:sqref>D36</xm:sqref>
        </x14:dataValidation>
        <x14:dataValidation type="list" allowBlank="1" showInputMessage="1" showErrorMessage="1" xr:uid="{37165571-6C03-4E84-9E28-893FEA91D8ED}">
          <x14:formula1>
            <xm:f>Sheet1!$B$19:$E$19</xm:f>
          </x14:formula1>
          <xm:sqref>D38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AA087-FF49-4035-B106-8DCD422567C5}">
  <dimension ref="A2:J29"/>
  <sheetViews>
    <sheetView topLeftCell="A12" workbookViewId="0">
      <selection activeCell="G26" sqref="G26"/>
    </sheetView>
  </sheetViews>
  <sheetFormatPr defaultRowHeight="14.5" x14ac:dyDescent="0.35"/>
  <cols>
    <col min="1" max="1" width="23.90625" bestFit="1" customWidth="1"/>
    <col min="2" max="2" width="23.90625" customWidth="1"/>
    <col min="3" max="4" width="11.6328125" bestFit="1" customWidth="1"/>
    <col min="5" max="5" width="15.26953125" bestFit="1" customWidth="1"/>
    <col min="6" max="6" width="20.7265625" bestFit="1" customWidth="1"/>
    <col min="7" max="7" width="11.6328125" bestFit="1" customWidth="1"/>
    <col min="10" max="10" width="17.1796875" bestFit="1" customWidth="1"/>
  </cols>
  <sheetData>
    <row r="2" spans="1:8" x14ac:dyDescent="0.35">
      <c r="C2" t="s">
        <v>41</v>
      </c>
      <c r="D2" t="s">
        <v>42</v>
      </c>
      <c r="E2" t="s">
        <v>43</v>
      </c>
      <c r="F2" t="s">
        <v>44</v>
      </c>
      <c r="G2" t="s">
        <v>45</v>
      </c>
    </row>
    <row r="3" spans="1:8" x14ac:dyDescent="0.35">
      <c r="A3" t="s">
        <v>0</v>
      </c>
      <c r="B3">
        <v>0</v>
      </c>
      <c r="C3" t="s">
        <v>1</v>
      </c>
      <c r="D3" t="s">
        <v>2</v>
      </c>
      <c r="E3" t="s">
        <v>3</v>
      </c>
      <c r="F3">
        <f>VLOOKUP(A3,'Estimativa de tratamento'!B:D,3,0)</f>
        <v>0</v>
      </c>
      <c r="G3">
        <f>IF(ISNA(HLOOKUP(F3,$C3:$E$20,18,0))=TRUE,0,HLOOKUP(F3,$C3:$E$20,18,0))</f>
        <v>0</v>
      </c>
      <c r="H3" t="e">
        <f>HLOOKUP(F3,C3:E20,18,0)</f>
        <v>#N/A</v>
      </c>
    </row>
    <row r="4" spans="1:8" x14ac:dyDescent="0.35">
      <c r="A4" t="s">
        <v>4</v>
      </c>
      <c r="B4">
        <v>0</v>
      </c>
      <c r="C4" t="s">
        <v>1</v>
      </c>
      <c r="D4" t="s">
        <v>2</v>
      </c>
      <c r="E4" t="s">
        <v>3</v>
      </c>
      <c r="F4">
        <f>VLOOKUP(A4,'Estimativa de tratamento'!B:D,3,0)</f>
        <v>0</v>
      </c>
      <c r="G4">
        <f>IF(ISNA(HLOOKUP(F4,$C4:$E$20,17,0))=TRUE,0,HLOOKUP(F4,$C4:$E$20,17,0))</f>
        <v>0</v>
      </c>
    </row>
    <row r="5" spans="1:8" x14ac:dyDescent="0.35">
      <c r="A5" t="s">
        <v>5</v>
      </c>
      <c r="B5">
        <v>0</v>
      </c>
      <c r="C5" t="s">
        <v>8</v>
      </c>
      <c r="D5" t="s">
        <v>9</v>
      </c>
      <c r="E5" t="s">
        <v>56</v>
      </c>
      <c r="F5">
        <f>VLOOKUP(A5,'Estimativa de tratamento'!B:D,3,0)</f>
        <v>0</v>
      </c>
      <c r="G5">
        <f>IF(ISNA(HLOOKUP(F5,$C5:$E$20,16,0))=TRUE,0,HLOOKUP(F5,$C5:$E$20,16,0))</f>
        <v>0</v>
      </c>
    </row>
    <row r="6" spans="1:8" x14ac:dyDescent="0.35">
      <c r="A6" t="s">
        <v>7</v>
      </c>
      <c r="B6">
        <v>0</v>
      </c>
      <c r="C6" t="s">
        <v>8</v>
      </c>
      <c r="D6" t="s">
        <v>9</v>
      </c>
      <c r="E6" t="s">
        <v>2</v>
      </c>
      <c r="F6">
        <f>VLOOKUP(A6,'Estimativa de tratamento'!B:D,3,0)</f>
        <v>0</v>
      </c>
      <c r="G6">
        <f>IF(ISNA(HLOOKUP(F6,$C6:$E$20,15,0))=TRUE,0,HLOOKUP(F6,$C6:$E$20,15,0))</f>
        <v>0</v>
      </c>
    </row>
    <row r="7" spans="1:8" x14ac:dyDescent="0.35">
      <c r="A7" t="s">
        <v>10</v>
      </c>
      <c r="B7">
        <v>0</v>
      </c>
      <c r="C7" t="s">
        <v>11</v>
      </c>
      <c r="D7" t="s">
        <v>12</v>
      </c>
      <c r="E7" t="s">
        <v>13</v>
      </c>
      <c r="F7">
        <f>VLOOKUP(A7,'Estimativa de tratamento'!B:D,3,0)</f>
        <v>0</v>
      </c>
      <c r="G7">
        <f>IF(ISNA(HLOOKUP(F7,$C7:$E$20,14,0))=TRUE,0,HLOOKUP(F7,$C7:$E$20,14,0))</f>
        <v>0</v>
      </c>
    </row>
    <row r="8" spans="1:8" x14ac:dyDescent="0.35">
      <c r="A8" t="s">
        <v>14</v>
      </c>
      <c r="B8">
        <v>0</v>
      </c>
      <c r="C8" t="s">
        <v>15</v>
      </c>
      <c r="D8" t="s">
        <v>16</v>
      </c>
      <c r="E8" t="s">
        <v>17</v>
      </c>
      <c r="F8">
        <f>VLOOKUP(A8,'Estimativa de tratamento'!B:D,3,0)</f>
        <v>0</v>
      </c>
      <c r="G8">
        <f>IF(ISNA(HLOOKUP(F8,$C8:$E$20,13,0))=TRUE,0,HLOOKUP(F8,$C8:$E$20,13,0))</f>
        <v>0</v>
      </c>
    </row>
    <row r="9" spans="1:8" x14ac:dyDescent="0.35">
      <c r="A9" t="s">
        <v>18</v>
      </c>
      <c r="B9">
        <v>0</v>
      </c>
      <c r="C9" t="s">
        <v>15</v>
      </c>
      <c r="D9" t="s">
        <v>19</v>
      </c>
      <c r="E9" t="s">
        <v>20</v>
      </c>
      <c r="F9">
        <f>VLOOKUP(A9,'Estimativa de tratamento'!B:D,3,0)</f>
        <v>0</v>
      </c>
      <c r="G9">
        <f>IF(ISNA(HLOOKUP(F9,$C9:$E$20,12,0))=TRUE,0,HLOOKUP(F9,$C9:$E$20,12,0))</f>
        <v>0</v>
      </c>
    </row>
    <row r="10" spans="1:8" x14ac:dyDescent="0.35">
      <c r="A10" t="s">
        <v>21</v>
      </c>
      <c r="B10">
        <v>0</v>
      </c>
      <c r="C10" t="s">
        <v>15</v>
      </c>
      <c r="D10" t="s">
        <v>22</v>
      </c>
      <c r="E10" t="s">
        <v>23</v>
      </c>
      <c r="F10">
        <f>VLOOKUP(A10,'Estimativa de tratamento'!B:D,3,0)</f>
        <v>0</v>
      </c>
      <c r="G10">
        <f>IF(ISNA(HLOOKUP(F10,$C10:$E$20,11,0))=TRUE,0,HLOOKUP(F10,$C10:$E$20,11,0))</f>
        <v>0</v>
      </c>
    </row>
    <row r="11" spans="1:8" x14ac:dyDescent="0.35">
      <c r="A11" t="s">
        <v>24</v>
      </c>
      <c r="B11">
        <v>0</v>
      </c>
      <c r="C11" t="s">
        <v>8</v>
      </c>
      <c r="D11" t="s">
        <v>9</v>
      </c>
      <c r="E11" t="s">
        <v>2</v>
      </c>
      <c r="F11">
        <f>VLOOKUP(A11,'Estimativa de tratamento'!B:D,3,0)</f>
        <v>0</v>
      </c>
      <c r="G11">
        <f>IF(ISNA(HLOOKUP(F11,$C11:$E$20,10,0))=TRUE,0,HLOOKUP(F11,$C11:$E$20,10,0))</f>
        <v>0</v>
      </c>
    </row>
    <row r="12" spans="1:8" x14ac:dyDescent="0.35">
      <c r="A12" t="s">
        <v>25</v>
      </c>
      <c r="B12">
        <v>0</v>
      </c>
      <c r="C12" t="s">
        <v>8</v>
      </c>
      <c r="D12" t="s">
        <v>9</v>
      </c>
      <c r="E12" t="s">
        <v>2</v>
      </c>
      <c r="F12">
        <f>VLOOKUP(A12,'Estimativa de tratamento'!B:D,3,0)</f>
        <v>0</v>
      </c>
      <c r="G12">
        <f>IF(ISNA(HLOOKUP(F12,$C12:$E$20,9,0))=TRUE,0,HLOOKUP(F12,$C12:$E$20,9,0))</f>
        <v>0</v>
      </c>
    </row>
    <row r="13" spans="1:8" x14ac:dyDescent="0.35">
      <c r="A13" t="s">
        <v>26</v>
      </c>
      <c r="B13">
        <v>0</v>
      </c>
      <c r="C13" t="s">
        <v>15</v>
      </c>
      <c r="D13" t="s">
        <v>16</v>
      </c>
      <c r="E13" t="s">
        <v>17</v>
      </c>
      <c r="F13">
        <f>VLOOKUP(A13,'Estimativa de tratamento'!B:D,3,0)</f>
        <v>0</v>
      </c>
      <c r="G13">
        <f>IF(ISNA(HLOOKUP(F13,$C13:$E$20,8,0))=TRUE,0,HLOOKUP(F13,$C13:$E$20,8,0))</f>
        <v>0</v>
      </c>
    </row>
    <row r="14" spans="1:8" x14ac:dyDescent="0.35">
      <c r="A14" t="s">
        <v>27</v>
      </c>
      <c r="B14">
        <v>0</v>
      </c>
      <c r="C14" t="s">
        <v>28</v>
      </c>
      <c r="D14" t="s">
        <v>29</v>
      </c>
      <c r="E14" t="s">
        <v>30</v>
      </c>
      <c r="F14">
        <f>VLOOKUP(A14,'Estimativa de tratamento'!B:D,3,0)</f>
        <v>0</v>
      </c>
      <c r="G14">
        <f>IF(F14="-",0,IF(ISNA(HLOOKUP(F14,$C14:$E$20,7,0))=TRUE,0,HLOOKUP(F14,$C14:$E$20,7,0)))</f>
        <v>0</v>
      </c>
    </row>
    <row r="15" spans="1:8" x14ac:dyDescent="0.35">
      <c r="A15" t="s">
        <v>31</v>
      </c>
      <c r="B15">
        <v>0</v>
      </c>
      <c r="C15" t="s">
        <v>32</v>
      </c>
      <c r="D15" t="s">
        <v>33</v>
      </c>
      <c r="E15" t="s">
        <v>34</v>
      </c>
      <c r="F15">
        <f>VLOOKUP(A15,'Estimativa de tratamento'!B:D,3,0)</f>
        <v>0</v>
      </c>
      <c r="G15">
        <f>IF(ISNA(HLOOKUP(F15,$C15:$E$20,6,0))=TRUE,0,HLOOKUP(F15,$C15:$E$20,6,0))</f>
        <v>0</v>
      </c>
    </row>
    <row r="16" spans="1:8" x14ac:dyDescent="0.35">
      <c r="A16" t="s">
        <v>35</v>
      </c>
      <c r="B16">
        <v>0</v>
      </c>
      <c r="C16" t="s">
        <v>28</v>
      </c>
      <c r="D16" t="s">
        <v>32</v>
      </c>
      <c r="E16" t="s">
        <v>33</v>
      </c>
      <c r="F16">
        <f>VLOOKUP(A16,'Estimativa de tratamento'!B:D,3,0)</f>
        <v>0</v>
      </c>
      <c r="G16">
        <f>IF(ISNA(HLOOKUP(F16,$C16:$E$20,5,0))=TRUE,0,HLOOKUP(F16,$C16:$E$20,5,0))</f>
        <v>0</v>
      </c>
    </row>
    <row r="17" spans="1:10" x14ac:dyDescent="0.35">
      <c r="A17" t="s">
        <v>36</v>
      </c>
      <c r="B17">
        <v>0</v>
      </c>
      <c r="C17" t="s">
        <v>8</v>
      </c>
      <c r="D17" t="s">
        <v>2</v>
      </c>
      <c r="E17" t="s">
        <v>6</v>
      </c>
      <c r="F17">
        <f>VLOOKUP(A17,'Estimativa de tratamento'!B:D,3,0)</f>
        <v>0</v>
      </c>
      <c r="G17">
        <f>IF(ISNA(HLOOKUP(F17,$C17:$E$20,4,0))=TRUE,0,HLOOKUP(F17,$C17:$E$20,4,0))</f>
        <v>0</v>
      </c>
    </row>
    <row r="18" spans="1:10" x14ac:dyDescent="0.35">
      <c r="A18" t="s">
        <v>37</v>
      </c>
      <c r="B18">
        <v>0</v>
      </c>
      <c r="C18" t="s">
        <v>8</v>
      </c>
      <c r="D18" t="s">
        <v>38</v>
      </c>
      <c r="E18" t="s">
        <v>39</v>
      </c>
      <c r="F18">
        <f>VLOOKUP(A18,'Estimativa de tratamento'!B:D,3,0)</f>
        <v>0</v>
      </c>
      <c r="G18">
        <f>IF(ISNA(HLOOKUP(F18,$C18:$E$20,3,0))=TRUE,0,HLOOKUP(F18,$C18:$E$20,3,0))</f>
        <v>0</v>
      </c>
      <c r="J18" s="7"/>
    </row>
    <row r="19" spans="1:10" x14ac:dyDescent="0.35">
      <c r="A19" t="s">
        <v>40</v>
      </c>
      <c r="B19">
        <v>0</v>
      </c>
      <c r="C19" t="s">
        <v>11</v>
      </c>
      <c r="D19" t="s">
        <v>12</v>
      </c>
      <c r="E19" t="s">
        <v>38</v>
      </c>
      <c r="F19">
        <f>VLOOKUP(A19,'Estimativa de tratamento'!B:D,3,0)</f>
        <v>0</v>
      </c>
      <c r="G19">
        <f>IF(ISNA(HLOOKUP(F19,$C19:$E$20,2,0))=TRUE,0,HLOOKUP(F19,$C19:$E$20,2,0))</f>
        <v>0</v>
      </c>
    </row>
    <row r="20" spans="1:10" x14ac:dyDescent="0.35">
      <c r="C20">
        <v>6</v>
      </c>
      <c r="D20">
        <v>10</v>
      </c>
      <c r="E20">
        <v>24</v>
      </c>
      <c r="F20" t="s">
        <v>49</v>
      </c>
      <c r="G20">
        <f>MAX(G3:G19)</f>
        <v>0</v>
      </c>
    </row>
    <row r="21" spans="1:10" x14ac:dyDescent="0.35">
      <c r="F21" t="s">
        <v>48</v>
      </c>
      <c r="G21" s="6" t="e">
        <f>HLOOKUP(G20,C20:E26,7,0)</f>
        <v>#N/A</v>
      </c>
    </row>
    <row r="22" spans="1:10" x14ac:dyDescent="0.35">
      <c r="C22" t="s">
        <v>51</v>
      </c>
      <c r="D22" t="s">
        <v>52</v>
      </c>
      <c r="E22" t="s">
        <v>53</v>
      </c>
      <c r="F22" t="s">
        <v>60</v>
      </c>
      <c r="G22" t="e">
        <f>HLOOKUP(G20,C20:E27,8,0)</f>
        <v>#N/A</v>
      </c>
    </row>
    <row r="23" spans="1:10" x14ac:dyDescent="0.35">
      <c r="F23" t="s">
        <v>61</v>
      </c>
      <c r="G23" t="e">
        <f>HLOOKUP(G20,C20:E28,9,0)</f>
        <v>#N/A</v>
      </c>
    </row>
    <row r="24" spans="1:10" x14ac:dyDescent="0.35">
      <c r="C24" s="6">
        <v>95</v>
      </c>
      <c r="D24" s="6">
        <f>D26/(D20*4)</f>
        <v>95</v>
      </c>
      <c r="E24" s="6">
        <f>E26/(E20*4)</f>
        <v>52.072916666666664</v>
      </c>
      <c r="F24" t="s">
        <v>62</v>
      </c>
      <c r="G24" t="e">
        <f>HLOOKUP(G20,C20:E29,10,0)</f>
        <v>#N/A</v>
      </c>
    </row>
    <row r="26" spans="1:10" x14ac:dyDescent="0.35">
      <c r="B26" t="s">
        <v>59</v>
      </c>
      <c r="C26" s="6">
        <f>C20*95*4</f>
        <v>2280</v>
      </c>
      <c r="D26" s="6">
        <v>3800</v>
      </c>
      <c r="E26" s="6">
        <v>4999</v>
      </c>
      <c r="F26" t="s">
        <v>55</v>
      </c>
      <c r="G26" s="6" t="e">
        <f>HLOOKUP(G20,C20:E22,3,0)</f>
        <v>#N/A</v>
      </c>
    </row>
    <row r="27" spans="1:10" x14ac:dyDescent="0.35">
      <c r="B27" t="s">
        <v>60</v>
      </c>
      <c r="C27" s="6">
        <f>C26/6</f>
        <v>380</v>
      </c>
      <c r="D27" s="6">
        <v>690</v>
      </c>
      <c r="E27" s="6">
        <v>903</v>
      </c>
    </row>
    <row r="28" spans="1:10" x14ac:dyDescent="0.35">
      <c r="B28" t="s">
        <v>61</v>
      </c>
      <c r="C28" s="6" t="s">
        <v>63</v>
      </c>
      <c r="D28" s="6">
        <v>369</v>
      </c>
      <c r="E28" s="6">
        <v>478</v>
      </c>
    </row>
    <row r="29" spans="1:10" x14ac:dyDescent="0.35">
      <c r="B29" t="s">
        <v>62</v>
      </c>
      <c r="C29" s="6" t="s">
        <v>63</v>
      </c>
      <c r="D29" s="6" t="s">
        <v>63</v>
      </c>
      <c r="E29" s="6">
        <v>299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Estimativa de tratamento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Buranello</dc:creator>
  <cp:lastModifiedBy>Ricardo Buranello</cp:lastModifiedBy>
  <dcterms:created xsi:type="dcterms:W3CDTF">2021-10-14T12:29:55Z</dcterms:created>
  <dcterms:modified xsi:type="dcterms:W3CDTF">2024-02-08T19:58:40Z</dcterms:modified>
</cp:coreProperties>
</file>